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/>
  <mc:AlternateContent xmlns:mc="http://schemas.openxmlformats.org/markup-compatibility/2006">
    <mc:Choice Requires="x15">
      <x15ac:absPath xmlns:x15ac="http://schemas.microsoft.com/office/spreadsheetml/2010/11/ac" url="https://d.docs.live.net/c27c9903e9b532ef/Documents/K.ASS Think Tank Limited/Set Up For Success Tax Companions/"/>
    </mc:Choice>
  </mc:AlternateContent>
  <xr:revisionPtr revIDLastSave="0" documentId="8_{10681A48-F4C3-4564-8D5C-7564BB851B31}" xr6:coauthVersionLast="47" xr6:coauthVersionMax="47" xr10:uidLastSave="{00000000-0000-0000-0000-000000000000}"/>
  <bookViews>
    <workbookView xWindow="-110" yWindow="-110" windowWidth="19420" windowHeight="10300" tabRatio="500" xr2:uid="{00000000-000D-0000-FFFF-FFFF00000000}"/>
  </bookViews>
  <sheets>
    <sheet name="Tax Estimator" sheetId="1" r:id="rId1"/>
    <sheet name="Dividends Tracker" sheetId="2" r:id="rId2"/>
    <sheet name="Director's Loan" sheetId="3" r:id="rId3"/>
    <sheet name="Workings" sheetId="4" state="hidden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59" i="4" l="1"/>
  <c r="B48" i="4"/>
  <c r="F27" i="3"/>
  <c r="F25" i="3"/>
  <c r="F24" i="3"/>
  <c r="F23" i="3"/>
  <c r="F2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F6" i="3"/>
  <c r="D27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D42" i="1"/>
  <c r="D41" i="1"/>
  <c r="D33" i="1"/>
  <c r="D19" i="1"/>
  <c r="D12" i="1"/>
  <c r="D10" i="1"/>
  <c r="B72" i="4" l="1"/>
  <c r="B69" i="4"/>
  <c r="B70" i="4" s="1"/>
  <c r="B66" i="4"/>
  <c r="B67" i="4" s="1"/>
  <c r="B68" i="4" s="1"/>
  <c r="C60" i="4"/>
  <c r="C62" i="4" s="1"/>
  <c r="F31" i="3"/>
  <c r="F28" i="3"/>
  <c r="B23" i="4"/>
  <c r="D23" i="1" s="1"/>
  <c r="D25" i="1"/>
  <c r="D26" i="1" s="1"/>
  <c r="D24" i="1"/>
  <c r="C61" i="4" l="1"/>
  <c r="C63" i="4"/>
  <c r="D31" i="1"/>
  <c r="D29" i="2"/>
  <c r="D30" i="2" s="1"/>
  <c r="B71" i="4"/>
  <c r="B60" i="4" l="1"/>
  <c r="D34" i="1" s="1"/>
  <c r="B73" i="4"/>
  <c r="B74" i="4"/>
  <c r="B75" i="4" l="1"/>
  <c r="D35" i="1" s="1"/>
  <c r="D43" i="1" l="1"/>
  <c r="D44" i="1" s="1"/>
  <c r="D3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 Author</author>
  </authors>
  <commentList>
    <comment ref="B4" authorId="0" shapeId="0" xr:uid="{00000000-0006-0000-0300-000001000000}">
      <text>
        <r>
          <rPr>
            <sz val="10"/>
            <rFont val="Arial"/>
            <family val="2"/>
          </rPr>
          <t>GOV.UK 2026/27</t>
        </r>
      </text>
    </comment>
    <comment ref="B5" authorId="0" shapeId="0" xr:uid="{00000000-0006-0000-0300-000002000000}">
      <text>
        <r>
          <rPr>
            <sz val="10"/>
            <rFont val="Arial"/>
            <family val="2"/>
          </rPr>
          <t>HoC Library 2026/27</t>
        </r>
      </text>
    </comment>
    <comment ref="B6" authorId="0" shapeId="0" xr:uid="{00000000-0006-0000-0300-000003000000}">
      <text>
        <r>
          <rPr>
            <sz val="10"/>
            <rFont val="Arial"/>
            <family val="2"/>
          </rPr>
          <t>GOV.UK 2026/27</t>
        </r>
      </text>
    </comment>
    <comment ref="B7" authorId="0" shapeId="0" xr:uid="{00000000-0006-0000-0300-000004000000}">
      <text>
        <r>
          <rPr>
            <sz val="10"/>
            <rFont val="Arial"/>
            <family val="2"/>
          </rPr>
          <t>GOV.UK 2026/27</t>
        </r>
      </text>
    </comment>
    <comment ref="B8" authorId="0" shapeId="0" xr:uid="{00000000-0006-0000-0300-000005000000}">
      <text>
        <r>
          <rPr>
            <sz val="10"/>
            <rFont val="Arial"/>
            <family val="2"/>
          </rPr>
          <t>GOV.UK 2026/27</t>
        </r>
      </text>
    </comment>
    <comment ref="B9" authorId="0" shapeId="0" xr:uid="{00000000-0006-0000-0300-000006000000}">
      <text>
        <r>
          <rPr>
            <sz val="10"/>
            <rFont val="Arial"/>
            <family val="2"/>
          </rPr>
          <t>GOV.UK 2026/27</t>
        </r>
      </text>
    </comment>
    <comment ref="B10" authorId="0" shapeId="0" xr:uid="{00000000-0006-0000-0300-000007000000}">
      <text>
        <r>
          <rPr>
            <sz val="10"/>
            <rFont val="Arial"/>
            <family val="2"/>
          </rPr>
          <t>GOV.UK 2026/27</t>
        </r>
      </text>
    </comment>
    <comment ref="B11" authorId="0" shapeId="0" xr:uid="{00000000-0006-0000-0300-000008000000}">
      <text>
        <r>
          <rPr>
            <sz val="10"/>
            <rFont val="Arial"/>
            <family val="2"/>
          </rPr>
          <t>GOV.UK - 19% up to £50k</t>
        </r>
      </text>
    </comment>
    <comment ref="B12" authorId="0" shapeId="0" xr:uid="{00000000-0006-0000-0300-000009000000}">
      <text>
        <r>
          <rPr>
            <sz val="10"/>
            <rFont val="Arial"/>
            <family val="2"/>
          </rPr>
          <t>GOV.UK - 25% over £250k</t>
        </r>
      </text>
    </comment>
    <comment ref="B13" authorId="0" shapeId="0" xr:uid="{00000000-0006-0000-0300-00000A000000}">
      <text>
        <r>
          <rPr>
            <sz val="10"/>
            <rFont val="Arial"/>
            <family val="2"/>
          </rPr>
          <t>GOV.UK 2026/27</t>
        </r>
      </text>
    </comment>
    <comment ref="B14" authorId="0" shapeId="0" xr:uid="{00000000-0006-0000-0300-00000B000000}">
      <text>
        <r>
          <rPr>
            <sz val="10"/>
            <rFont val="Arial"/>
            <family val="2"/>
          </rPr>
          <t>GOV.UK 2026/27</t>
        </r>
      </text>
    </comment>
    <comment ref="B15" authorId="0" shapeId="0" xr:uid="{00000000-0006-0000-0300-00000C000000}">
      <text>
        <r>
          <rPr>
            <sz val="10"/>
            <rFont val="Arial"/>
            <family val="2"/>
          </rPr>
          <t>3/200 = 0.015</t>
        </r>
      </text>
    </comment>
    <comment ref="B16" authorId="0" shapeId="0" xr:uid="{00000000-0006-0000-0300-00000D000000}">
      <text>
        <r>
          <rPr>
            <sz val="10"/>
            <rFont val="Arial"/>
            <family val="2"/>
          </rPr>
          <t>GOV.UK 2026/27</t>
        </r>
      </text>
    </comment>
    <comment ref="B17" authorId="0" shapeId="0" xr:uid="{00000000-0006-0000-0300-00000E000000}">
      <text>
        <r>
          <rPr>
            <sz val="10"/>
            <rFont val="Arial"/>
            <family val="2"/>
          </rPr>
          <t>GOV.UK - rose to 10.75% Apr 2026</t>
        </r>
      </text>
    </comment>
    <comment ref="B18" authorId="0" shapeId="0" xr:uid="{00000000-0006-0000-0300-00000F000000}">
      <text>
        <r>
          <rPr>
            <sz val="10"/>
            <rFont val="Arial"/>
            <family val="2"/>
          </rPr>
          <t>GOV.UK - rose to 35.75% Apr 2026</t>
        </r>
      </text>
    </comment>
    <comment ref="B19" authorId="0" shapeId="0" xr:uid="{00000000-0006-0000-0300-000010000000}">
      <text>
        <r>
          <rPr>
            <sz val="10"/>
            <rFont val="Arial"/>
            <family val="2"/>
          </rPr>
          <t>GOV.UK - unchanged 39.35%</t>
        </r>
      </text>
    </comment>
    <comment ref="B20" authorId="0" shapeId="0" xr:uid="{00000000-0006-0000-0300-000011000000}">
      <text>
        <r>
          <rPr>
            <sz val="10"/>
            <rFont val="Arial"/>
            <family val="2"/>
          </rPr>
          <t>GOV.UK - PA reduced £1 per £2 over £100k</t>
        </r>
      </text>
    </comment>
    <comment ref="B21" authorId="0" shapeId="0" xr:uid="{00000000-0006-0000-0300-000012000000}">
      <text>
        <r>
          <rPr>
            <sz val="10"/>
            <rFont val="Arial"/>
            <family val="2"/>
          </rPr>
          <t>GOV.UK - s455 33.75%</t>
        </r>
      </text>
    </comment>
    <comment ref="B23" authorId="0" shapeId="0" xr:uid="{00000000-0006-0000-0300-000013000000}">
      <text>
        <r>
          <rPr>
            <sz val="10"/>
            <rFont val="Arial"/>
            <family val="2"/>
          </rPr>
          <t>19% up to £50k; 25% over £250k; between = 25% less 3/200*(250000-profit)</t>
        </r>
      </text>
    </comment>
  </commentList>
</comments>
</file>

<file path=xl/sharedStrings.xml><?xml version="1.0" encoding="utf-8"?>
<sst xmlns="http://schemas.openxmlformats.org/spreadsheetml/2006/main" count="111" uniqueCount="109">
  <si>
    <t>Limited Company Tax Companion</t>
  </si>
  <si>
    <t>Corporation Tax &amp; Dividend Tax Estimator  |  2026/27</t>
  </si>
  <si>
    <t>Enter your figures in the yellow boxes. Everything else is estimated automatically.</t>
  </si>
  <si>
    <t>KEY DATES</t>
  </si>
  <si>
    <t>Company year end</t>
  </si>
  <si>
    <t>Type as DD/MM/YYYY (e.g. 31/03/2027)</t>
  </si>
  <si>
    <t>Corporation tax payment due</t>
  </si>
  <si>
    <t>9 months and 1 day after year end</t>
  </si>
  <si>
    <t>Dividends declared date</t>
  </si>
  <si>
    <t>Director's Self Assessment payment due</t>
  </si>
  <si>
    <t>31 January after the tax year the dividends fall in</t>
  </si>
  <si>
    <t>COMPANY FIGURES</t>
  </si>
  <si>
    <t>Turnover</t>
  </si>
  <si>
    <t>Director's salary</t>
  </si>
  <si>
    <t>Salary is a company expense and reduces profit</t>
  </si>
  <si>
    <t>Other allowable expenses</t>
  </si>
  <si>
    <t>Taxable company profit</t>
  </si>
  <si>
    <t>CORPORATION TAX (ESTIMATED)</t>
  </si>
  <si>
    <t>Corporation tax due</t>
  </si>
  <si>
    <t>19% up to £50k, 25% over £250k, marginal relief between</t>
  </si>
  <si>
    <t>Effective corporation tax rate</t>
  </si>
  <si>
    <t>Profit retained after corporation tax</t>
  </si>
  <si>
    <t>Dividends available to draw</t>
  </si>
  <si>
    <t>You can only draw dividends up to this amount</t>
  </si>
  <si>
    <t>DIVIDENDS &amp; PERSONAL TAX (ESTIMATED)</t>
  </si>
  <si>
    <t>Dividends you plan to draw</t>
  </si>
  <si>
    <t>Warning: dividends exceed available profit?</t>
  </si>
  <si>
    <t>Dividends must not exceed available profit — this would be unlawful</t>
  </si>
  <si>
    <t>Salary (from above)</t>
  </si>
  <si>
    <t>Income tax on salary</t>
  </si>
  <si>
    <t>Dividend tax</t>
  </si>
  <si>
    <t>TOTAL personal tax (via Self Assessment)</t>
  </si>
  <si>
    <t>OVERALL SUMMARY</t>
  </si>
  <si>
    <t>Salary taken</t>
  </si>
  <si>
    <t>Dividends taken</t>
  </si>
  <si>
    <t>Less: personal tax</t>
  </si>
  <si>
    <t>Estimated personal take-home</t>
  </si>
  <si>
    <t>What this estimate assumes</t>
  </si>
  <si>
    <t>•  The director takes the salary and dividends shown, and has no other income.</t>
  </si>
  <si>
    <t>•  The salary is a valid company expense (paid via PAYE where required).</t>
  </si>
  <si>
    <t>•  The full personal allowance (£12,570) applies, tapering above £100,000 of income.</t>
  </si>
  <si>
    <t>•  Company profit equals your tax-adjusted profit (no capital allowances or add-backs shown here).</t>
  </si>
  <si>
    <t>•  No associated companies (which would reduce the £50k/£250k corporation tax thresholds).</t>
  </si>
  <si>
    <t>•  The director is not a Scottish or Welsh taxpayer.</t>
  </si>
  <si>
    <t>IMPORTANT — please read</t>
  </si>
  <si>
    <t>Dividend tax rates rose from 6 April 2026 to 10.75% (basic), 35.75% (higher) and 39.35% (additional). This tool uses the new 2026/27 rates.</t>
  </si>
  <si>
    <t>Dividends can only be paid from retained profit after corporation tax. Paying more than is available is unlawful (an illegal dividend).</t>
  </si>
  <si>
    <t>This tool does not calculate the High Income Child Benefit Charge, employer's/employee's National Insurance on salary, or capital allowances. Seek advice where these apply.</t>
  </si>
  <si>
    <t>This is an estimation tool only. It is not a substitute for professional advice or your company's or personal tax returns.</t>
  </si>
  <si>
    <t>Think Big Accounting Limited and Set Up For Success Limited accept no liability for use of this document to complete your company or personal tax returns.</t>
  </si>
  <si>
    <t>Due care must be taken. This document is a simple estimation tool only, based on the information you enter above.</t>
  </si>
  <si>
    <t>© Set Up For Success Limited 2026</t>
  </si>
  <si>
    <t>Dividends Tracker</t>
  </si>
  <si>
    <t>Record each dividend as you declare it. Keep dividend vouchers and board minutes for each.</t>
  </si>
  <si>
    <t>Date declared</t>
  </si>
  <si>
    <t>Shareholder</t>
  </si>
  <si>
    <t>Amount</t>
  </si>
  <si>
    <t>Type</t>
  </si>
  <si>
    <t>Running total</t>
  </si>
  <si>
    <t>Total dividends declared</t>
  </si>
  <si>
    <t>Dividends available (from estimator)</t>
  </si>
  <si>
    <t>Within available profit?</t>
  </si>
  <si>
    <t>Director's Loan Account Tracker</t>
  </si>
  <si>
    <t>Record money the director takes from, or pays into, the company (outside salary and dividends).</t>
  </si>
  <si>
    <t>Date</t>
  </si>
  <si>
    <t>Description</t>
  </si>
  <si>
    <t>Money OUT to director</t>
  </si>
  <si>
    <t>Money IN from director</t>
  </si>
  <si>
    <t>Balance</t>
  </si>
  <si>
    <t>Closing loan balance</t>
  </si>
  <si>
    <t>Is the account overdrawn (director owes company)?</t>
  </si>
  <si>
    <t>s455 TAX WARNING</t>
  </si>
  <si>
    <t>Estimated s455 tax if not repaid in time</t>
  </si>
  <si>
    <t>If the director's loan account is overdrawn at the company year end AND the balance is not repaid within 9 months and 1 day of the year end, the company must pay s455 tax at 33.75% of the outstanding balance. This is refundable by HMRC once the loan is repaid, but the cash is tied up in the meantime. An overdrawn loan over £10,000 at any point may also create a taxable benefit in kind. Seek advice if your loan account is overdrawn.</t>
  </si>
  <si>
    <t>WORKINGS — 2026/27 (do not edit)</t>
  </si>
  <si>
    <t>RATES &amp; THRESHOLDS 2026/27</t>
  </si>
  <si>
    <t>Personal allowance</t>
  </si>
  <si>
    <t>Basic rate band width</t>
  </si>
  <si>
    <t>Higher rate threshold</t>
  </si>
  <si>
    <t>Additional rate threshold</t>
  </si>
  <si>
    <t>Income tax basic rate</t>
  </si>
  <si>
    <t>Income tax higher rate</t>
  </si>
  <si>
    <t>Income tax additional rate</t>
  </si>
  <si>
    <t>CT small profits rate</t>
  </si>
  <si>
    <t>CT main rate</t>
  </si>
  <si>
    <t>CT lower limit</t>
  </si>
  <si>
    <t>CT upper limit</t>
  </si>
  <si>
    <t>Marginal relief fraction</t>
  </si>
  <si>
    <t>Dividend allowance</t>
  </si>
  <si>
    <t>Dividend ordinary rate</t>
  </si>
  <si>
    <t>Dividend upper rate</t>
  </si>
  <si>
    <t>Dividend additional rate</t>
  </si>
  <si>
    <t>PA taper threshold</t>
  </si>
  <si>
    <t>s455 rate</t>
  </si>
  <si>
    <t>CORPORATION TAX DUE</t>
  </si>
  <si>
    <t>Director SA payment date</t>
  </si>
  <si>
    <t>PERSONAL TAX</t>
  </si>
  <si>
    <t>Adjusted personal allowance</t>
  </si>
  <si>
    <t>DIVIDEND TAX</t>
  </si>
  <si>
    <t>PA remaining after salary</t>
  </si>
  <si>
    <t>Dividends after using spare PA</t>
  </si>
  <si>
    <t>Taxable dividends after £500 allowance</t>
  </si>
  <si>
    <t>Basic band already used by salary</t>
  </si>
  <si>
    <t>Basic band remaining for dividends</t>
  </si>
  <si>
    <t>Dividends taxed at ordinary rate</t>
  </si>
  <si>
    <t>Higher band remaining for dividends</t>
  </si>
  <si>
    <t>Dividends taxed at upper rate</t>
  </si>
  <si>
    <t>Dividends taxed at additional rate</t>
  </si>
  <si>
    <t>TOTAL dividend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</si>
</sst>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\£#,##0"/>
    <numFmt numFmtId="165" formatCode="\£#,##0.00"/>
    <numFmt numFmtId="166" formatCode="0.0%"/>
  </numFmts>
  <fonts count="18" x14ac:knownFonts="1">
    <font>
      <sz val="11"/>
      <color theme="1"/>
      <name val="Calibri"/>
      <family val="2"/>
      <charset val="1"/>
    </font>
    <font>
      <b/>
      <sz val="22"/>
      <color rgb="FFFFD400"/>
      <name val="Arial"/>
      <charset val="1"/>
    </font>
    <font>
      <b/>
      <sz val="11"/>
      <color rgb="FFFFFFFF"/>
      <name val="Arial"/>
      <charset val="1"/>
    </font>
    <font>
      <i/>
      <sz val="11"/>
      <color rgb="FF555555"/>
      <name val="Arial"/>
      <charset val="1"/>
    </font>
    <font>
      <b/>
      <sz val="12"/>
      <color rgb="FFFFD400"/>
      <name val="Arial"/>
      <charset val="1"/>
    </font>
    <font>
      <b/>
      <sz val="11"/>
      <color rgb="FF050505"/>
      <name val="Arial"/>
      <charset val="1"/>
    </font>
    <font>
      <b/>
      <sz val="11"/>
      <color rgb="FF0000FF"/>
      <name val="Arial"/>
      <charset val="1"/>
    </font>
    <font>
      <i/>
      <sz val="10"/>
      <color rgb="FF555555"/>
      <name val="Arial"/>
      <charset val="1"/>
    </font>
    <font>
      <sz val="11"/>
      <color rgb="FF050505"/>
      <name val="Arial"/>
      <charset val="1"/>
    </font>
    <font>
      <b/>
      <sz val="12"/>
      <color rgb="FF050505"/>
      <name val="Arial"/>
      <charset val="1"/>
    </font>
    <font>
      <sz val="10"/>
      <color rgb="FF555555"/>
      <name val="Arial"/>
      <charset val="1"/>
    </font>
    <font>
      <sz val="10"/>
      <color rgb="FF050505"/>
      <name val="Arial"/>
      <charset val="1"/>
    </font>
    <font>
      <i/>
      <sz val="9"/>
      <color rgb="FF555555"/>
      <name val="Arial"/>
      <charset val="1"/>
    </font>
    <font>
      <b/>
      <sz val="20"/>
      <color rgb="FFFFD400"/>
      <name val="Arial"/>
      <charset val="1"/>
    </font>
    <font>
      <sz val="11"/>
      <color rgb="FF0000FF"/>
      <name val="Arial"/>
      <charset val="1"/>
    </font>
    <font>
      <b/>
      <sz val="10"/>
      <name val="Arial"/>
      <charset val="1"/>
    </font>
    <font>
      <sz val="10"/>
      <name val="Arial"/>
      <charset val="1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0505"/>
        <bgColor rgb="FF000000"/>
      </patternFill>
    </fill>
    <fill>
      <patternFill patternType="solid">
        <fgColor rgb="FFFFD400"/>
        <bgColor rgb="FFFFFF00"/>
      </patternFill>
    </fill>
    <fill>
      <patternFill patternType="solid">
        <fgColor rgb="FFF2F2F2"/>
        <bgColor rgb="FFFFFFFF"/>
      </patternFill>
    </fill>
  </fills>
  <borders count="2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9" fillId="3" borderId="0" xfId="0" applyFont="1" applyFill="1" applyAlignment="1">
      <alignment horizontal="left" vertical="center"/>
    </xf>
    <xf numFmtId="0" fontId="13" fillId="2" borderId="0" xfId="0" applyFont="1" applyFill="1" applyAlignment="1">
      <alignment horizontal="left" vertical="center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5" fillId="0" borderId="0" xfId="0" applyFont="1" applyAlignment="1">
      <alignment vertical="center"/>
    </xf>
    <xf numFmtId="14" fontId="6" fillId="3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0" xfId="0" applyFont="1" applyAlignment="1">
      <alignment horizontal="left" vertical="center"/>
    </xf>
    <xf numFmtId="0" fontId="5" fillId="4" borderId="0" xfId="0" applyFont="1" applyFill="1" applyAlignment="1">
      <alignment vertical="center"/>
    </xf>
    <xf numFmtId="1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164" fontId="5" fillId="4" borderId="0" xfId="0" applyNumberFormat="1" applyFont="1" applyFill="1" applyAlignment="1">
      <alignment horizontal="right" vertical="center"/>
    </xf>
    <xf numFmtId="165" fontId="5" fillId="0" borderId="0" xfId="0" applyNumberFormat="1" applyFont="1" applyAlignment="1">
      <alignment horizontal="right" vertical="center"/>
    </xf>
    <xf numFmtId="0" fontId="8" fillId="0" borderId="0" xfId="0" applyFont="1" applyAlignment="1">
      <alignment vertical="center"/>
    </xf>
    <xf numFmtId="166" fontId="8" fillId="0" borderId="0" xfId="0" applyNumberFormat="1" applyFont="1" applyAlignment="1">
      <alignment horizontal="right" vertical="center"/>
    </xf>
    <xf numFmtId="165" fontId="5" fillId="4" borderId="0" xfId="0" applyNumberFormat="1" applyFont="1" applyFill="1" applyAlignment="1">
      <alignment horizontal="right" vertical="center"/>
    </xf>
    <xf numFmtId="0" fontId="5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right" vertical="center"/>
    </xf>
    <xf numFmtId="0" fontId="9" fillId="3" borderId="0" xfId="0" applyFont="1" applyFill="1" applyAlignment="1">
      <alignment vertical="center"/>
    </xf>
    <xf numFmtId="165" fontId="9" fillId="3" borderId="0" xfId="0" applyNumberFormat="1" applyFont="1" applyFill="1" applyAlignment="1">
      <alignment horizontal="right" vertical="center"/>
    </xf>
    <xf numFmtId="0" fontId="5" fillId="3" borderId="1" xfId="0" applyFont="1" applyFill="1" applyBorder="1" applyAlignment="1">
      <alignment horizontal="center" vertical="center"/>
    </xf>
    <xf numFmtId="0" fontId="14" fillId="0" borderId="1" xfId="0" applyFont="1" applyBorder="1" applyAlignment="1" applyProtection="1">
      <alignment horizontal="left" vertical="center"/>
      <protection locked="0"/>
    </xf>
    <xf numFmtId="165" fontId="14" fillId="0" borderId="1" xfId="0" applyNumberFormat="1" applyFont="1" applyBorder="1" applyAlignment="1" applyProtection="1">
      <alignment horizontal="right" vertical="center"/>
      <protection locked="0"/>
    </xf>
    <xf numFmtId="165" fontId="5" fillId="0" borderId="1" xfId="0" applyNumberFormat="1" applyFont="1" applyBorder="1" applyAlignment="1">
      <alignment horizontal="right" vertical="center"/>
    </xf>
    <xf numFmtId="0" fontId="5" fillId="3" borderId="1" xfId="0" applyFont="1" applyFill="1" applyBorder="1" applyAlignment="1">
      <alignment horizontal="center" vertical="center" wrapText="1"/>
    </xf>
    <xf numFmtId="0" fontId="15" fillId="3" borderId="0" xfId="0" applyFont="1" applyFill="1"/>
    <xf numFmtId="0" fontId="15" fillId="0" borderId="0" xfId="0" applyFont="1"/>
    <xf numFmtId="0" fontId="16" fillId="0" borderId="0" xfId="0" applyFont="1"/>
    <xf numFmtId="164" fontId="15" fillId="0" borderId="0" xfId="0" applyNumberFormat="1" applyFont="1"/>
    <xf numFmtId="10" fontId="15" fillId="0" borderId="0" xfId="0" applyNumberFormat="1" applyFont="1"/>
    <xf numFmtId="165" fontId="15" fillId="0" borderId="0" xfId="0" applyNumberFormat="1" applyFont="1"/>
    <xf numFmtId="164" fontId="16" fillId="0" borderId="0" xfId="0" applyNumberFormat="1" applyFont="1"/>
    <xf numFmtId="165" fontId="16" fillId="0" borderId="0" xfId="0" applyNumberFormat="1" applyFont="1"/>
    <xf numFmtId="0" fontId="15" fillId="4" borderId="0" xfId="0" applyFont="1" applyFill="1"/>
    <xf numFmtId="165" fontId="15" fillId="4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CCCCC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D400"/>
      <rgbColor rgb="FFFF9900"/>
      <rgbColor rgb="FFFF6600"/>
      <rgbColor rgb="FF555555"/>
      <rgbColor rgb="FF969696"/>
      <rgbColor rgb="FF003366"/>
      <rgbColor rgb="FF339966"/>
      <rgbColor rgb="FF050505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73"/>
  <sheetViews>
    <sheetView showGridLines="0" tabSelected="1" zoomScaleNormal="100" workbookViewId="0">
      <selection activeCell="D10" sqref="D10"/>
    </sheetView>
  </sheetViews>
  <sheetFormatPr defaultColWidth="8.6328125" defaultRowHeight="14.5" x14ac:dyDescent="0.35"/>
  <cols>
    <col min="1" max="1" width="3" customWidth="1"/>
    <col min="2" max="2" width="42" customWidth="1"/>
    <col min="3" max="3" width="3" customWidth="1"/>
    <col min="4" max="4" width="18" customWidth="1"/>
    <col min="5" max="5" width="3" customWidth="1"/>
    <col min="6" max="6" width="44" customWidth="1"/>
  </cols>
  <sheetData>
    <row r="2" spans="2:6" ht="37.5" customHeight="1" x14ac:dyDescent="0.35">
      <c r="B2" s="10" t="s">
        <v>0</v>
      </c>
      <c r="C2" s="10"/>
      <c r="D2" s="10"/>
      <c r="E2" s="10"/>
      <c r="F2" s="10"/>
    </row>
    <row r="3" spans="2:6" ht="19.5" customHeight="1" x14ac:dyDescent="0.35">
      <c r="B3" s="9" t="s">
        <v>1</v>
      </c>
      <c r="C3" s="9"/>
      <c r="D3" s="9"/>
      <c r="E3" s="9"/>
      <c r="F3" s="9"/>
    </row>
    <row r="5" spans="2:6" ht="15" customHeight="1" x14ac:dyDescent="0.35">
      <c r="B5" s="8" t="s">
        <v>2</v>
      </c>
      <c r="C5" s="8"/>
      <c r="D5" s="8"/>
      <c r="E5" s="8"/>
      <c r="F5" s="8"/>
    </row>
    <row r="7" spans="2:6" ht="21.75" customHeight="1" x14ac:dyDescent="0.35">
      <c r="B7" s="7" t="s">
        <v>3</v>
      </c>
      <c r="C7" s="7"/>
      <c r="D7" s="7"/>
      <c r="E7" s="7"/>
      <c r="F7" s="7"/>
    </row>
    <row r="9" spans="2:6" ht="15" customHeight="1" x14ac:dyDescent="0.35">
      <c r="B9" s="11" t="s">
        <v>4</v>
      </c>
      <c r="D9" s="12">
        <v>46477</v>
      </c>
      <c r="F9" s="13" t="s">
        <v>5</v>
      </c>
    </row>
    <row r="10" spans="2:6" ht="15" customHeight="1" x14ac:dyDescent="0.35">
      <c r="B10" s="14" t="s">
        <v>6</v>
      </c>
      <c r="D10" s="15">
        <f>IF(ISNUMBER(D9),EDATE(D9,9)+1,"Enter year end as a date")</f>
        <v>46753</v>
      </c>
      <c r="F10" s="13" t="s">
        <v>7</v>
      </c>
    </row>
    <row r="11" spans="2:6" ht="15" customHeight="1" x14ac:dyDescent="0.35">
      <c r="B11" s="11" t="s">
        <v>8</v>
      </c>
      <c r="D11" s="12">
        <v>46477</v>
      </c>
      <c r="F11" s="13" t="s">
        <v>5</v>
      </c>
    </row>
    <row r="12" spans="2:6" ht="15" customHeight="1" x14ac:dyDescent="0.35">
      <c r="B12" s="14" t="s">
        <v>9</v>
      </c>
      <c r="D12" s="16" t="str">
        <f>Workings!B48</f>
        <v>31 January 2028</v>
      </c>
      <c r="F12" s="13" t="s">
        <v>10</v>
      </c>
    </row>
    <row r="14" spans="2:6" ht="21.75" customHeight="1" x14ac:dyDescent="0.35">
      <c r="B14" s="7" t="s">
        <v>11</v>
      </c>
      <c r="C14" s="7"/>
      <c r="D14" s="7"/>
      <c r="E14" s="7"/>
      <c r="F14" s="7"/>
    </row>
    <row r="16" spans="2:6" ht="15" customHeight="1" x14ac:dyDescent="0.35">
      <c r="B16" s="11" t="s">
        <v>12</v>
      </c>
      <c r="D16" s="17">
        <v>80000</v>
      </c>
    </row>
    <row r="17" spans="2:6" ht="15" customHeight="1" x14ac:dyDescent="0.35">
      <c r="B17" s="11" t="s">
        <v>13</v>
      </c>
      <c r="D17" s="17">
        <v>12570</v>
      </c>
      <c r="F17" s="13" t="s">
        <v>14</v>
      </c>
    </row>
    <row r="18" spans="2:6" ht="15" customHeight="1" x14ac:dyDescent="0.35">
      <c r="B18" s="11" t="s">
        <v>15</v>
      </c>
      <c r="D18" s="17">
        <v>15000</v>
      </c>
    </row>
    <row r="19" spans="2:6" ht="15" customHeight="1" x14ac:dyDescent="0.35">
      <c r="B19" s="14" t="s">
        <v>16</v>
      </c>
      <c r="D19" s="18">
        <f>MAX(0,D16-D17-D18)</f>
        <v>52430</v>
      </c>
    </row>
    <row r="21" spans="2:6" ht="21.75" customHeight="1" x14ac:dyDescent="0.35">
      <c r="B21" s="7" t="s">
        <v>17</v>
      </c>
      <c r="C21" s="7"/>
      <c r="D21" s="7"/>
      <c r="E21" s="7"/>
      <c r="F21" s="7"/>
    </row>
    <row r="23" spans="2:6" ht="15" customHeight="1" x14ac:dyDescent="0.35">
      <c r="B23" s="11" t="s">
        <v>18</v>
      </c>
      <c r="D23" s="19">
        <f>Workings!B23</f>
        <v>10143.950000000001</v>
      </c>
      <c r="F23" s="13" t="s">
        <v>19</v>
      </c>
    </row>
    <row r="24" spans="2:6" ht="15" customHeight="1" x14ac:dyDescent="0.35">
      <c r="B24" s="20" t="s">
        <v>20</v>
      </c>
      <c r="D24" s="21">
        <f>IF(D19=0,0,Workings!B23/D19)</f>
        <v>0.19347606332252529</v>
      </c>
    </row>
    <row r="25" spans="2:6" ht="15" customHeight="1" x14ac:dyDescent="0.35">
      <c r="B25" s="14" t="s">
        <v>21</v>
      </c>
      <c r="D25" s="22">
        <f>D19-Workings!B23</f>
        <v>42286.05</v>
      </c>
    </row>
    <row r="26" spans="2:6" ht="15" customHeight="1" x14ac:dyDescent="0.35">
      <c r="B26" s="11" t="s">
        <v>22</v>
      </c>
      <c r="D26" s="19">
        <f>D25</f>
        <v>42286.05</v>
      </c>
      <c r="F26" s="13" t="s">
        <v>23</v>
      </c>
    </row>
    <row r="28" spans="2:6" ht="21.75" customHeight="1" x14ac:dyDescent="0.35">
      <c r="B28" s="7" t="s">
        <v>24</v>
      </c>
      <c r="C28" s="7"/>
      <c r="D28" s="7"/>
      <c r="E28" s="7"/>
      <c r="F28" s="7"/>
    </row>
    <row r="30" spans="2:6" ht="15" customHeight="1" x14ac:dyDescent="0.35">
      <c r="B30" s="11" t="s">
        <v>25</v>
      </c>
      <c r="D30" s="17">
        <v>40000</v>
      </c>
    </row>
    <row r="31" spans="2:6" ht="15" customHeight="1" x14ac:dyDescent="0.35">
      <c r="B31" s="11" t="s">
        <v>26</v>
      </c>
      <c r="D31" s="23" t="str">
        <f>IF(D30&gt;D26,"YES - TOO HIGH","No")</f>
        <v>No</v>
      </c>
      <c r="F31" s="13" t="s">
        <v>27</v>
      </c>
    </row>
    <row r="33" spans="2:6" ht="15" customHeight="1" x14ac:dyDescent="0.35">
      <c r="B33" s="20" t="s">
        <v>28</v>
      </c>
      <c r="D33" s="24">
        <f>D17</f>
        <v>12570</v>
      </c>
    </row>
    <row r="34" spans="2:6" ht="15" customHeight="1" x14ac:dyDescent="0.35">
      <c r="B34" s="20" t="s">
        <v>29</v>
      </c>
      <c r="D34" s="24">
        <f>Workings!B60</f>
        <v>0</v>
      </c>
    </row>
    <row r="35" spans="2:6" ht="15" customHeight="1" x14ac:dyDescent="0.35">
      <c r="B35" s="20" t="s">
        <v>30</v>
      </c>
      <c r="D35" s="24">
        <f>Workings!B75</f>
        <v>4696.25</v>
      </c>
    </row>
    <row r="37" spans="2:6" ht="21.75" customHeight="1" x14ac:dyDescent="0.35">
      <c r="B37" s="25" t="s">
        <v>31</v>
      </c>
      <c r="D37" s="26">
        <f>D34+D35</f>
        <v>4696.25</v>
      </c>
    </row>
    <row r="39" spans="2:6" ht="21.75" customHeight="1" x14ac:dyDescent="0.35">
      <c r="B39" s="7" t="s">
        <v>32</v>
      </c>
      <c r="C39" s="7"/>
      <c r="D39" s="7"/>
      <c r="E39" s="7"/>
      <c r="F39" s="7"/>
    </row>
    <row r="41" spans="2:6" ht="15" customHeight="1" x14ac:dyDescent="0.35">
      <c r="B41" s="20" t="s">
        <v>33</v>
      </c>
      <c r="D41" s="24">
        <f>D17</f>
        <v>12570</v>
      </c>
    </row>
    <row r="42" spans="2:6" ht="15" customHeight="1" x14ac:dyDescent="0.35">
      <c r="B42" s="20" t="s">
        <v>34</v>
      </c>
      <c r="D42" s="24">
        <f>D30</f>
        <v>40000</v>
      </c>
    </row>
    <row r="43" spans="2:6" ht="15" customHeight="1" x14ac:dyDescent="0.35">
      <c r="B43" s="20" t="s">
        <v>35</v>
      </c>
      <c r="D43" s="24">
        <f>-(D34+D35)</f>
        <v>-4696.25</v>
      </c>
    </row>
    <row r="44" spans="2:6" ht="21.75" customHeight="1" x14ac:dyDescent="0.35">
      <c r="B44" s="25" t="s">
        <v>36</v>
      </c>
      <c r="D44" s="26">
        <f>D41+D42+D43</f>
        <v>47873.75</v>
      </c>
    </row>
    <row r="46" spans="2:6" ht="21.75" customHeight="1" x14ac:dyDescent="0.35">
      <c r="B46" s="9" t="s">
        <v>37</v>
      </c>
      <c r="C46" s="9"/>
      <c r="D46" s="9"/>
      <c r="E46" s="9"/>
      <c r="F46" s="9"/>
    </row>
    <row r="47" spans="2:6" ht="13.5" customHeight="1" x14ac:dyDescent="0.35">
      <c r="B47" s="6" t="s">
        <v>38</v>
      </c>
      <c r="C47" s="6"/>
      <c r="D47" s="6"/>
      <c r="E47" s="6"/>
      <c r="F47" s="6"/>
    </row>
    <row r="48" spans="2:6" ht="13.5" customHeight="1" x14ac:dyDescent="0.35">
      <c r="B48" s="6" t="s">
        <v>39</v>
      </c>
      <c r="C48" s="6"/>
      <c r="D48" s="6"/>
      <c r="E48" s="6"/>
      <c r="F48" s="6"/>
    </row>
    <row r="49" spans="2:6" ht="13.5" customHeight="1" x14ac:dyDescent="0.35">
      <c r="B49" s="6" t="s">
        <v>40</v>
      </c>
      <c r="C49" s="6"/>
      <c r="D49" s="6"/>
      <c r="E49" s="6"/>
      <c r="F49" s="6"/>
    </row>
    <row r="50" spans="2:6" ht="13.5" customHeight="1" x14ac:dyDescent="0.35">
      <c r="B50" s="6" t="s">
        <v>41</v>
      </c>
      <c r="C50" s="6"/>
      <c r="D50" s="6"/>
      <c r="E50" s="6"/>
      <c r="F50" s="6"/>
    </row>
    <row r="51" spans="2:6" ht="13.5" customHeight="1" x14ac:dyDescent="0.35">
      <c r="B51" s="6" t="s">
        <v>42</v>
      </c>
      <c r="C51" s="6"/>
      <c r="D51" s="6"/>
      <c r="E51" s="6"/>
      <c r="F51" s="6"/>
    </row>
    <row r="52" spans="2:6" ht="13.5" customHeight="1" x14ac:dyDescent="0.35">
      <c r="B52" s="6" t="s">
        <v>43</v>
      </c>
      <c r="C52" s="6"/>
      <c r="D52" s="6"/>
      <c r="E52" s="6"/>
      <c r="F52" s="6"/>
    </row>
    <row r="54" spans="2:6" ht="19.5" customHeight="1" x14ac:dyDescent="0.35">
      <c r="B54" s="5" t="s">
        <v>44</v>
      </c>
      <c r="C54" s="5"/>
      <c r="D54" s="5"/>
      <c r="E54" s="5"/>
      <c r="F54" s="5"/>
    </row>
    <row r="55" spans="2:6" ht="13.5" customHeight="1" x14ac:dyDescent="0.35">
      <c r="B55" s="4" t="s">
        <v>45</v>
      </c>
      <c r="C55" s="4"/>
      <c r="D55" s="4"/>
      <c r="E55" s="4"/>
      <c r="F55" s="4"/>
    </row>
    <row r="56" spans="2:6" ht="13.5" customHeight="1" x14ac:dyDescent="0.35">
      <c r="B56" s="4"/>
      <c r="C56" s="4"/>
      <c r="D56" s="4"/>
      <c r="E56" s="4"/>
      <c r="F56" s="4"/>
    </row>
    <row r="57" spans="2:6" ht="13.5" customHeight="1" x14ac:dyDescent="0.35">
      <c r="B57" s="4"/>
      <c r="C57" s="4"/>
      <c r="D57" s="4"/>
      <c r="E57" s="4"/>
      <c r="F57" s="4"/>
    </row>
    <row r="58" spans="2:6" ht="13.5" customHeight="1" x14ac:dyDescent="0.35">
      <c r="B58" s="4" t="s">
        <v>46</v>
      </c>
      <c r="C58" s="4"/>
      <c r="D58" s="4"/>
      <c r="E58" s="4"/>
      <c r="F58" s="4"/>
    </row>
    <row r="59" spans="2:6" ht="13.5" customHeight="1" x14ac:dyDescent="0.35">
      <c r="B59" s="4"/>
      <c r="C59" s="4"/>
      <c r="D59" s="4"/>
      <c r="E59" s="4"/>
      <c r="F59" s="4"/>
    </row>
    <row r="60" spans="2:6" ht="13.5" customHeight="1" x14ac:dyDescent="0.35">
      <c r="B60" s="4"/>
      <c r="C60" s="4"/>
      <c r="D60" s="4"/>
      <c r="E60" s="4"/>
      <c r="F60" s="4"/>
    </row>
    <row r="61" spans="2:6" ht="13.5" customHeight="1" x14ac:dyDescent="0.35">
      <c r="B61" s="4" t="s">
        <v>47</v>
      </c>
      <c r="C61" s="4"/>
      <c r="D61" s="4"/>
      <c r="E61" s="4"/>
      <c r="F61" s="4"/>
    </row>
    <row r="62" spans="2:6" ht="13.5" customHeight="1" x14ac:dyDescent="0.35">
      <c r="B62" s="4"/>
      <c r="C62" s="4"/>
      <c r="D62" s="4"/>
      <c r="E62" s="4"/>
      <c r="F62" s="4"/>
    </row>
    <row r="63" spans="2:6" ht="13.5" customHeight="1" x14ac:dyDescent="0.35">
      <c r="B63" s="4"/>
      <c r="C63" s="4"/>
      <c r="D63" s="4"/>
      <c r="E63" s="4"/>
      <c r="F63" s="4"/>
    </row>
    <row r="64" spans="2:6" ht="13.5" customHeight="1" x14ac:dyDescent="0.35">
      <c r="B64" s="4" t="s">
        <v>48</v>
      </c>
      <c r="C64" s="4"/>
      <c r="D64" s="4"/>
      <c r="E64" s="4"/>
      <c r="F64" s="4"/>
    </row>
    <row r="65" spans="2:6" ht="13.5" customHeight="1" x14ac:dyDescent="0.35">
      <c r="B65" s="4"/>
      <c r="C65" s="4"/>
      <c r="D65" s="4"/>
      <c r="E65" s="4"/>
      <c r="F65" s="4"/>
    </row>
    <row r="66" spans="2:6" ht="13.5" customHeight="1" x14ac:dyDescent="0.35">
      <c r="B66" s="4"/>
      <c r="C66" s="4"/>
      <c r="D66" s="4"/>
      <c r="E66" s="4"/>
      <c r="F66" s="4"/>
    </row>
    <row r="68" spans="2:6" ht="12.75" customHeight="1" x14ac:dyDescent="0.35">
      <c r="B68" s="3" t="s">
        <v>49</v>
      </c>
      <c r="C68" s="3"/>
      <c r="D68" s="3"/>
      <c r="E68" s="3"/>
      <c r="F68" s="3"/>
    </row>
    <row r="69" spans="2:6" ht="12.75" customHeight="1" x14ac:dyDescent="0.35">
      <c r="B69" s="3"/>
      <c r="C69" s="3"/>
      <c r="D69" s="3"/>
      <c r="E69" s="3"/>
      <c r="F69" s="3"/>
    </row>
    <row r="70" spans="2:6" ht="12.75" customHeight="1" x14ac:dyDescent="0.35">
      <c r="B70" s="3" t="s">
        <v>50</v>
      </c>
      <c r="C70" s="3"/>
      <c r="D70" s="3"/>
      <c r="E70" s="3"/>
      <c r="F70" s="3"/>
    </row>
    <row r="71" spans="2:6" ht="12.75" customHeight="1" x14ac:dyDescent="0.35">
      <c r="B71" s="3"/>
      <c r="C71" s="3"/>
      <c r="D71" s="3"/>
      <c r="E71" s="3"/>
      <c r="F71" s="3"/>
    </row>
    <row r="73" spans="2:6" ht="15" customHeight="1" x14ac:dyDescent="0.35">
      <c r="B73" s="6" t="s">
        <v>51</v>
      </c>
      <c r="C73" s="6"/>
      <c r="D73" s="6"/>
      <c r="E73" s="6"/>
      <c r="F73" s="6"/>
    </row>
  </sheetData>
  <sheetProtection password="F04B" sheet="1" formatCells="0"/>
  <mergeCells count="23">
    <mergeCell ref="B68:F69"/>
    <mergeCell ref="B70:F71"/>
    <mergeCell ref="B73:F73"/>
    <mergeCell ref="B54:F54"/>
    <mergeCell ref="B55:F57"/>
    <mergeCell ref="B58:F60"/>
    <mergeCell ref="B61:F63"/>
    <mergeCell ref="B64:F66"/>
    <mergeCell ref="B48:F48"/>
    <mergeCell ref="B49:F49"/>
    <mergeCell ref="B50:F50"/>
    <mergeCell ref="B51:F51"/>
    <mergeCell ref="B52:F52"/>
    <mergeCell ref="B21:F21"/>
    <mergeCell ref="B28:F28"/>
    <mergeCell ref="B39:F39"/>
    <mergeCell ref="B46:F46"/>
    <mergeCell ref="B47:F47"/>
    <mergeCell ref="B2:F2"/>
    <mergeCell ref="B3:F3"/>
    <mergeCell ref="B5:F5"/>
    <mergeCell ref="B7:F7"/>
    <mergeCell ref="B14:F14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F30"/>
  <sheetViews>
    <sheetView showGridLines="0" zoomScaleNormal="100" workbookViewId="0"/>
  </sheetViews>
  <sheetFormatPr defaultColWidth="8.6328125" defaultRowHeight="14.5" x14ac:dyDescent="0.35"/>
  <cols>
    <col min="1" max="1" width="3" customWidth="1"/>
    <col min="2" max="2" width="16" customWidth="1"/>
    <col min="3" max="3" width="22" customWidth="1"/>
    <col min="4" max="4" width="18" customWidth="1"/>
    <col min="5" max="5" width="20" customWidth="1"/>
    <col min="6" max="6" width="22" customWidth="1"/>
  </cols>
  <sheetData>
    <row r="2" spans="2:6" ht="33.75" customHeight="1" x14ac:dyDescent="0.35">
      <c r="B2" s="2" t="s">
        <v>52</v>
      </c>
      <c r="C2" s="2"/>
      <c r="D2" s="2"/>
      <c r="E2" s="2"/>
      <c r="F2" s="2"/>
    </row>
    <row r="3" spans="2:6" ht="15" customHeight="1" x14ac:dyDescent="0.35">
      <c r="B3" s="8" t="s">
        <v>53</v>
      </c>
      <c r="C3" s="8"/>
      <c r="D3" s="8"/>
      <c r="E3" s="8"/>
      <c r="F3" s="8"/>
    </row>
    <row r="5" spans="2:6" ht="15" customHeight="1" x14ac:dyDescent="0.35">
      <c r="B5" s="27" t="s">
        <v>54</v>
      </c>
      <c r="C5" s="27" t="s">
        <v>55</v>
      </c>
      <c r="D5" s="27" t="s">
        <v>56</v>
      </c>
      <c r="E5" s="27" t="s">
        <v>57</v>
      </c>
      <c r="F5" s="27" t="s">
        <v>58</v>
      </c>
    </row>
    <row r="6" spans="2:6" ht="15" customHeight="1" x14ac:dyDescent="0.35">
      <c r="B6" s="28"/>
      <c r="C6" s="28"/>
      <c r="D6" s="29"/>
      <c r="E6" s="28"/>
      <c r="F6" s="30" t="str">
        <f>IF(D6="","",SUM($D$6:D6))</f>
        <v/>
      </c>
    </row>
    <row r="7" spans="2:6" ht="15" customHeight="1" x14ac:dyDescent="0.35">
      <c r="B7" s="28"/>
      <c r="C7" s="28"/>
      <c r="D7" s="29"/>
      <c r="E7" s="28"/>
      <c r="F7" s="30" t="str">
        <f>IF(D7="","",SUM($D$6:D7))</f>
        <v/>
      </c>
    </row>
    <row r="8" spans="2:6" ht="15" customHeight="1" x14ac:dyDescent="0.35">
      <c r="B8" s="28"/>
      <c r="C8" s="28"/>
      <c r="D8" s="29"/>
      <c r="E8" s="28"/>
      <c r="F8" s="30" t="str">
        <f>IF(D8="","",SUM($D$6:D8))</f>
        <v/>
      </c>
    </row>
    <row r="9" spans="2:6" ht="15" customHeight="1" x14ac:dyDescent="0.35">
      <c r="B9" s="28"/>
      <c r="C9" s="28"/>
      <c r="D9" s="29"/>
      <c r="E9" s="28"/>
      <c r="F9" s="30" t="str">
        <f>IF(D9="","",SUM($D$6:D9))</f>
        <v/>
      </c>
    </row>
    <row r="10" spans="2:6" ht="15" customHeight="1" x14ac:dyDescent="0.35">
      <c r="B10" s="28"/>
      <c r="C10" s="28"/>
      <c r="D10" s="29"/>
      <c r="E10" s="28"/>
      <c r="F10" s="30" t="str">
        <f>IF(D10="","",SUM($D$6:D10))</f>
        <v/>
      </c>
    </row>
    <row r="11" spans="2:6" ht="15" customHeight="1" x14ac:dyDescent="0.35">
      <c r="B11" s="28"/>
      <c r="C11" s="28"/>
      <c r="D11" s="29"/>
      <c r="E11" s="28"/>
      <c r="F11" s="30" t="str">
        <f>IF(D11="","",SUM($D$6:D11))</f>
        <v/>
      </c>
    </row>
    <row r="12" spans="2:6" ht="15" customHeight="1" x14ac:dyDescent="0.35">
      <c r="B12" s="28"/>
      <c r="C12" s="28"/>
      <c r="D12" s="29"/>
      <c r="E12" s="28"/>
      <c r="F12" s="30" t="str">
        <f>IF(D12="","",SUM($D$6:D12))</f>
        <v/>
      </c>
    </row>
    <row r="13" spans="2:6" ht="15" customHeight="1" x14ac:dyDescent="0.35">
      <c r="B13" s="28"/>
      <c r="C13" s="28"/>
      <c r="D13" s="29"/>
      <c r="E13" s="28"/>
      <c r="F13" s="30" t="str">
        <f>IF(D13="","",SUM($D$6:D13))</f>
        <v/>
      </c>
    </row>
    <row r="14" spans="2:6" ht="15" customHeight="1" x14ac:dyDescent="0.35">
      <c r="B14" s="28"/>
      <c r="C14" s="28"/>
      <c r="D14" s="29"/>
      <c r="E14" s="28"/>
      <c r="F14" s="30" t="str">
        <f>IF(D14="","",SUM($D$6:D14))</f>
        <v/>
      </c>
    </row>
    <row r="15" spans="2:6" ht="15" customHeight="1" x14ac:dyDescent="0.35">
      <c r="B15" s="28"/>
      <c r="C15" s="28"/>
      <c r="D15" s="29"/>
      <c r="E15" s="28"/>
      <c r="F15" s="30" t="str">
        <f>IF(D15="","",SUM($D$6:D15))</f>
        <v/>
      </c>
    </row>
    <row r="16" spans="2:6" ht="15" customHeight="1" x14ac:dyDescent="0.35">
      <c r="B16" s="28"/>
      <c r="C16" s="28"/>
      <c r="D16" s="29"/>
      <c r="E16" s="28"/>
      <c r="F16" s="30" t="str">
        <f>IF(D16="","",SUM($D$6:D16))</f>
        <v/>
      </c>
    </row>
    <row r="17" spans="2:6" ht="15" customHeight="1" x14ac:dyDescent="0.35">
      <c r="B17" s="28"/>
      <c r="C17" s="28"/>
      <c r="D17" s="29"/>
      <c r="E17" s="28"/>
      <c r="F17" s="30" t="str">
        <f>IF(D17="","",SUM($D$6:D17))</f>
        <v/>
      </c>
    </row>
    <row r="18" spans="2:6" ht="15" customHeight="1" x14ac:dyDescent="0.35">
      <c r="B18" s="28"/>
      <c r="C18" s="28"/>
      <c r="D18" s="29"/>
      <c r="E18" s="28"/>
      <c r="F18" s="30" t="str">
        <f>IF(D18="","",SUM($D$6:D18))</f>
        <v/>
      </c>
    </row>
    <row r="19" spans="2:6" ht="15" customHeight="1" x14ac:dyDescent="0.35">
      <c r="B19" s="28"/>
      <c r="C19" s="28"/>
      <c r="D19" s="29"/>
      <c r="E19" s="28"/>
      <c r="F19" s="30" t="str">
        <f>IF(D19="","",SUM($D$6:D19))</f>
        <v/>
      </c>
    </row>
    <row r="20" spans="2:6" ht="15" customHeight="1" x14ac:dyDescent="0.35">
      <c r="B20" s="28"/>
      <c r="C20" s="28"/>
      <c r="D20" s="29"/>
      <c r="E20" s="28"/>
      <c r="F20" s="30" t="str">
        <f>IF(D20="","",SUM($D$6:D20))</f>
        <v/>
      </c>
    </row>
    <row r="21" spans="2:6" ht="15" customHeight="1" x14ac:dyDescent="0.35">
      <c r="B21" s="28"/>
      <c r="C21" s="28"/>
      <c r="D21" s="29"/>
      <c r="E21" s="28"/>
      <c r="F21" s="30" t="str">
        <f>IF(D21="","",SUM($D$6:D21))</f>
        <v/>
      </c>
    </row>
    <row r="22" spans="2:6" ht="15" customHeight="1" x14ac:dyDescent="0.35">
      <c r="B22" s="28"/>
      <c r="C22" s="28"/>
      <c r="D22" s="29"/>
      <c r="E22" s="28"/>
      <c r="F22" s="30" t="str">
        <f>IF(D22="","",SUM($D$6:D22))</f>
        <v/>
      </c>
    </row>
    <row r="23" spans="2:6" ht="15" customHeight="1" x14ac:dyDescent="0.35">
      <c r="B23" s="28"/>
      <c r="C23" s="28"/>
      <c r="D23" s="29"/>
      <c r="E23" s="28"/>
      <c r="F23" s="30" t="str">
        <f>IF(D23="","",SUM($D$6:D23))</f>
        <v/>
      </c>
    </row>
    <row r="24" spans="2:6" ht="15" customHeight="1" x14ac:dyDescent="0.35">
      <c r="B24" s="28"/>
      <c r="C24" s="28"/>
      <c r="D24" s="29"/>
      <c r="E24" s="28"/>
      <c r="F24" s="30" t="str">
        <f>IF(D24="","",SUM($D$6:D24))</f>
        <v/>
      </c>
    </row>
    <row r="25" spans="2:6" ht="15" customHeight="1" x14ac:dyDescent="0.35">
      <c r="B25" s="28"/>
      <c r="C25" s="28"/>
      <c r="D25" s="29"/>
      <c r="E25" s="28"/>
      <c r="F25" s="30" t="str">
        <f>IF(D25="","",SUM($D$6:D25))</f>
        <v/>
      </c>
    </row>
    <row r="27" spans="2:6" ht="15" customHeight="1" x14ac:dyDescent="0.35">
      <c r="B27" s="14" t="s">
        <v>59</v>
      </c>
      <c r="D27" s="22">
        <f>SUM(D6:D25)</f>
        <v>0</v>
      </c>
    </row>
    <row r="29" spans="2:6" ht="15" customHeight="1" x14ac:dyDescent="0.35">
      <c r="B29" s="11" t="s">
        <v>60</v>
      </c>
      <c r="D29" s="19">
        <f>'Tax Estimator'!D26</f>
        <v>42286.05</v>
      </c>
    </row>
    <row r="30" spans="2:6" ht="15" customHeight="1" x14ac:dyDescent="0.35">
      <c r="B30" s="11" t="s">
        <v>61</v>
      </c>
      <c r="D30" s="23" t="str">
        <f>IF(D27&gt;D29,"NO - EXCEEDS AVAILABLE","Yes")</f>
        <v>Yes</v>
      </c>
    </row>
  </sheetData>
  <sheetProtection password="F04B" sheet="1"/>
  <mergeCells count="2">
    <mergeCell ref="B2:F2"/>
    <mergeCell ref="B3:F3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F35"/>
  <sheetViews>
    <sheetView showGridLines="0" zoomScaleNormal="100" workbookViewId="0"/>
  </sheetViews>
  <sheetFormatPr defaultColWidth="8.6328125" defaultRowHeight="14.5" x14ac:dyDescent="0.35"/>
  <cols>
    <col min="1" max="1" width="3" customWidth="1"/>
    <col min="2" max="2" width="16" customWidth="1"/>
    <col min="3" max="3" width="30" customWidth="1"/>
    <col min="4" max="5" width="18" customWidth="1"/>
    <col min="6" max="6" width="20" customWidth="1"/>
  </cols>
  <sheetData>
    <row r="2" spans="2:6" ht="33.75" customHeight="1" x14ac:dyDescent="0.35">
      <c r="B2" s="2" t="s">
        <v>62</v>
      </c>
      <c r="C2" s="2"/>
      <c r="D2" s="2"/>
      <c r="E2" s="2"/>
      <c r="F2" s="2"/>
    </row>
    <row r="3" spans="2:6" ht="15" customHeight="1" x14ac:dyDescent="0.35">
      <c r="B3" s="8" t="s">
        <v>63</v>
      </c>
      <c r="C3" s="8"/>
      <c r="D3" s="8"/>
      <c r="E3" s="8"/>
      <c r="F3" s="8"/>
    </row>
    <row r="5" spans="2:6" ht="30" customHeight="1" x14ac:dyDescent="0.35">
      <c r="B5" s="31" t="s">
        <v>64</v>
      </c>
      <c r="C5" s="31" t="s">
        <v>65</v>
      </c>
      <c r="D5" s="31" t="s">
        <v>66</v>
      </c>
      <c r="E5" s="31" t="s">
        <v>67</v>
      </c>
      <c r="F5" s="31" t="s">
        <v>68</v>
      </c>
    </row>
    <row r="6" spans="2:6" ht="15" customHeight="1" x14ac:dyDescent="0.35">
      <c r="B6" s="28"/>
      <c r="C6" s="28"/>
      <c r="D6" s="29"/>
      <c r="E6" s="29"/>
      <c r="F6" s="30" t="str">
        <f>IF(AND(D6="",E6=""),"",SUM($D$6:D6)-SUM($E$6:E6))</f>
        <v/>
      </c>
    </row>
    <row r="7" spans="2:6" ht="15" customHeight="1" x14ac:dyDescent="0.35">
      <c r="B7" s="28"/>
      <c r="C7" s="28"/>
      <c r="D7" s="29"/>
      <c r="E7" s="29"/>
      <c r="F7" s="30" t="str">
        <f>IF(AND(D7="",E7=""),"",SUM($D$6:D7)-SUM($E$6:E7))</f>
        <v/>
      </c>
    </row>
    <row r="8" spans="2:6" ht="15" customHeight="1" x14ac:dyDescent="0.35">
      <c r="B8" s="28"/>
      <c r="C8" s="28"/>
      <c r="D8" s="29"/>
      <c r="E8" s="29"/>
      <c r="F8" s="30" t="str">
        <f>IF(AND(D8="",E8=""),"",SUM($D$6:D8)-SUM($E$6:E8))</f>
        <v/>
      </c>
    </row>
    <row r="9" spans="2:6" ht="15" customHeight="1" x14ac:dyDescent="0.35">
      <c r="B9" s="28"/>
      <c r="C9" s="28"/>
      <c r="D9" s="29"/>
      <c r="E9" s="29"/>
      <c r="F9" s="30" t="str">
        <f>IF(AND(D9="",E9=""),"",SUM($D$6:D9)-SUM($E$6:E9))</f>
        <v/>
      </c>
    </row>
    <row r="10" spans="2:6" ht="15" customHeight="1" x14ac:dyDescent="0.35">
      <c r="B10" s="28"/>
      <c r="C10" s="28"/>
      <c r="D10" s="29"/>
      <c r="E10" s="29"/>
      <c r="F10" s="30" t="str">
        <f>IF(AND(D10="",E10=""),"",SUM($D$6:D10)-SUM($E$6:E10))</f>
        <v/>
      </c>
    </row>
    <row r="11" spans="2:6" ht="15" customHeight="1" x14ac:dyDescent="0.35">
      <c r="B11" s="28"/>
      <c r="C11" s="28"/>
      <c r="D11" s="29"/>
      <c r="E11" s="29"/>
      <c r="F11" s="30" t="str">
        <f>IF(AND(D11="",E11=""),"",SUM($D$6:D11)-SUM($E$6:E11))</f>
        <v/>
      </c>
    </row>
    <row r="12" spans="2:6" ht="15" customHeight="1" x14ac:dyDescent="0.35">
      <c r="B12" s="28"/>
      <c r="C12" s="28"/>
      <c r="D12" s="29"/>
      <c r="E12" s="29"/>
      <c r="F12" s="30" t="str">
        <f>IF(AND(D12="",E12=""),"",SUM($D$6:D12)-SUM($E$6:E12))</f>
        <v/>
      </c>
    </row>
    <row r="13" spans="2:6" ht="15" customHeight="1" x14ac:dyDescent="0.35">
      <c r="B13" s="28"/>
      <c r="C13" s="28"/>
      <c r="D13" s="29"/>
      <c r="E13" s="29"/>
      <c r="F13" s="30" t="str">
        <f>IF(AND(D13="",E13=""),"",SUM($D$6:D13)-SUM($E$6:E13))</f>
        <v/>
      </c>
    </row>
    <row r="14" spans="2:6" ht="15" customHeight="1" x14ac:dyDescent="0.35">
      <c r="B14" s="28"/>
      <c r="C14" s="28"/>
      <c r="D14" s="29"/>
      <c r="E14" s="29"/>
      <c r="F14" s="30" t="str">
        <f>IF(AND(D14="",E14=""),"",SUM($D$6:D14)-SUM($E$6:E14))</f>
        <v/>
      </c>
    </row>
    <row r="15" spans="2:6" ht="15" customHeight="1" x14ac:dyDescent="0.35">
      <c r="B15" s="28"/>
      <c r="C15" s="28"/>
      <c r="D15" s="29"/>
      <c r="E15" s="29"/>
      <c r="F15" s="30" t="str">
        <f>IF(AND(D15="",E15=""),"",SUM($D$6:D15)-SUM($E$6:E15))</f>
        <v/>
      </c>
    </row>
    <row r="16" spans="2:6" ht="15" customHeight="1" x14ac:dyDescent="0.35">
      <c r="B16" s="28"/>
      <c r="C16" s="28"/>
      <c r="D16" s="29"/>
      <c r="E16" s="29"/>
      <c r="F16" s="30" t="str">
        <f>IF(AND(D16="",E16=""),"",SUM($D$6:D16)-SUM($E$6:E16))</f>
        <v/>
      </c>
    </row>
    <row r="17" spans="2:6" ht="15" customHeight="1" x14ac:dyDescent="0.35">
      <c r="B17" s="28"/>
      <c r="C17" s="28"/>
      <c r="D17" s="29"/>
      <c r="E17" s="29"/>
      <c r="F17" s="30" t="str">
        <f>IF(AND(D17="",E17=""),"",SUM($D$6:D17)-SUM($E$6:E17))</f>
        <v/>
      </c>
    </row>
    <row r="18" spans="2:6" ht="15" customHeight="1" x14ac:dyDescent="0.35">
      <c r="B18" s="28"/>
      <c r="C18" s="28"/>
      <c r="D18" s="29"/>
      <c r="E18" s="29"/>
      <c r="F18" s="30" t="str">
        <f>IF(AND(D18="",E18=""),"",SUM($D$6:D18)-SUM($E$6:E18))</f>
        <v/>
      </c>
    </row>
    <row r="19" spans="2:6" ht="15" customHeight="1" x14ac:dyDescent="0.35">
      <c r="B19" s="28"/>
      <c r="C19" s="28"/>
      <c r="D19" s="29"/>
      <c r="E19" s="29"/>
      <c r="F19" s="30" t="str">
        <f>IF(AND(D19="",E19=""),"",SUM($D$6:D19)-SUM($E$6:E19))</f>
        <v/>
      </c>
    </row>
    <row r="20" spans="2:6" ht="15" customHeight="1" x14ac:dyDescent="0.35">
      <c r="B20" s="28"/>
      <c r="C20" s="28"/>
      <c r="D20" s="29"/>
      <c r="E20" s="29"/>
      <c r="F20" s="30" t="str">
        <f>IF(AND(D20="",E20=""),"",SUM($D$6:D20)-SUM($E$6:E20))</f>
        <v/>
      </c>
    </row>
    <row r="21" spans="2:6" ht="15" customHeight="1" x14ac:dyDescent="0.35">
      <c r="B21" s="28"/>
      <c r="C21" s="28"/>
      <c r="D21" s="29"/>
      <c r="E21" s="29"/>
      <c r="F21" s="30" t="str">
        <f>IF(AND(D21="",E21=""),"",SUM($D$6:D21)-SUM($E$6:E21))</f>
        <v/>
      </c>
    </row>
    <row r="22" spans="2:6" ht="15" customHeight="1" x14ac:dyDescent="0.35">
      <c r="B22" s="28"/>
      <c r="C22" s="28"/>
      <c r="D22" s="29"/>
      <c r="E22" s="29"/>
      <c r="F22" s="30" t="str">
        <f>IF(AND(D22="",E22=""),"",SUM($D$6:D22)-SUM($E$6:E22))</f>
        <v/>
      </c>
    </row>
    <row r="23" spans="2:6" ht="15" customHeight="1" x14ac:dyDescent="0.35">
      <c r="B23" s="28"/>
      <c r="C23" s="28"/>
      <c r="D23" s="29"/>
      <c r="E23" s="29"/>
      <c r="F23" s="30" t="str">
        <f>IF(AND(D23="",E23=""),"",SUM($D$6:D23)-SUM($E$6:E23))</f>
        <v/>
      </c>
    </row>
    <row r="24" spans="2:6" ht="15" customHeight="1" x14ac:dyDescent="0.35">
      <c r="B24" s="28"/>
      <c r="C24" s="28"/>
      <c r="D24" s="29"/>
      <c r="E24" s="29"/>
      <c r="F24" s="30" t="str">
        <f>IF(AND(D24="",E24=""),"",SUM($D$6:D24)-SUM($E$6:E24))</f>
        <v/>
      </c>
    </row>
    <row r="25" spans="2:6" ht="15" customHeight="1" x14ac:dyDescent="0.35">
      <c r="B25" s="28"/>
      <c r="C25" s="28"/>
      <c r="D25" s="29"/>
      <c r="E25" s="29"/>
      <c r="F25" s="30" t="str">
        <f>IF(AND(D25="",E25=""),"",SUM($D$6:D25)-SUM($E$6:E25))</f>
        <v/>
      </c>
    </row>
    <row r="27" spans="2:6" ht="15" customHeight="1" x14ac:dyDescent="0.35">
      <c r="B27" s="14" t="s">
        <v>69</v>
      </c>
      <c r="F27" s="22">
        <f>IF(SUM(D6:D25)-SUM(E6:E25)=0,0,SUM(D6:D25)-SUM(E6:E25))</f>
        <v>0</v>
      </c>
    </row>
    <row r="28" spans="2:6" ht="15" customHeight="1" x14ac:dyDescent="0.35">
      <c r="B28" s="11" t="s">
        <v>70</v>
      </c>
      <c r="F28" s="23" t="str">
        <f>IF(F27&gt;0,"YES","No")</f>
        <v>No</v>
      </c>
    </row>
    <row r="30" spans="2:6" ht="21.75" customHeight="1" x14ac:dyDescent="0.35">
      <c r="B30" s="1" t="s">
        <v>71</v>
      </c>
      <c r="C30" s="1"/>
      <c r="D30" s="1"/>
      <c r="E30" s="1"/>
      <c r="F30" s="1"/>
    </row>
    <row r="31" spans="2:6" ht="15" customHeight="1" x14ac:dyDescent="0.35">
      <c r="B31" s="11" t="s">
        <v>72</v>
      </c>
      <c r="F31" s="19">
        <f>IF(F27&gt;0,F27*0.3375,0)</f>
        <v>0</v>
      </c>
    </row>
    <row r="32" spans="2:6" ht="15.75" customHeight="1" x14ac:dyDescent="0.35">
      <c r="B32" s="4" t="s">
        <v>73</v>
      </c>
      <c r="C32" s="4"/>
      <c r="D32" s="4"/>
      <c r="E32" s="4"/>
      <c r="F32" s="4"/>
    </row>
    <row r="33" spans="2:6" ht="15.75" customHeight="1" x14ac:dyDescent="0.35">
      <c r="B33" s="4"/>
      <c r="C33" s="4"/>
      <c r="D33" s="4"/>
      <c r="E33" s="4"/>
      <c r="F33" s="4"/>
    </row>
    <row r="34" spans="2:6" ht="15.75" customHeight="1" x14ac:dyDescent="0.35">
      <c r="B34" s="4"/>
      <c r="C34" s="4"/>
      <c r="D34" s="4"/>
      <c r="E34" s="4"/>
      <c r="F34" s="4"/>
    </row>
    <row r="35" spans="2:6" ht="15.75" customHeight="1" x14ac:dyDescent="0.35">
      <c r="B35" s="4"/>
      <c r="C35" s="4"/>
      <c r="D35" s="4"/>
      <c r="E35" s="4"/>
      <c r="F35" s="4"/>
    </row>
  </sheetData>
  <sheetProtection password="F04B" sheet="1"/>
  <mergeCells count="4">
    <mergeCell ref="B2:F2"/>
    <mergeCell ref="B3:F3"/>
    <mergeCell ref="B30:F30"/>
    <mergeCell ref="B32:F35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75"/>
  <sheetViews>
    <sheetView zoomScaleNormal="100" workbookViewId="0"/>
  </sheetViews>
  <sheetFormatPr defaultColWidth="8.6328125" defaultRowHeight="14.5" x14ac:dyDescent="0.35"/>
  <cols>
    <col min="1" max="1" width="44" customWidth="1"/>
    <col min="2" max="2" width="16" customWidth="1"/>
    <col min="3" max="6" width="14" customWidth="1"/>
  </cols>
  <sheetData>
    <row r="1" spans="1:2" ht="15" customHeight="1" x14ac:dyDescent="0.35">
      <c r="A1" s="32" t="s">
        <v>74</v>
      </c>
    </row>
    <row r="3" spans="1:2" ht="15" customHeight="1" x14ac:dyDescent="0.35">
      <c r="A3" s="33" t="s">
        <v>75</v>
      </c>
    </row>
    <row r="4" spans="1:2" ht="15" customHeight="1" x14ac:dyDescent="0.35">
      <c r="A4" s="34" t="s">
        <v>76</v>
      </c>
      <c r="B4" s="35">
        <v>12570</v>
      </c>
    </row>
    <row r="5" spans="1:2" ht="15" customHeight="1" x14ac:dyDescent="0.35">
      <c r="A5" s="34" t="s">
        <v>77</v>
      </c>
      <c r="B5" s="35">
        <v>37700</v>
      </c>
    </row>
    <row r="6" spans="1:2" ht="15" customHeight="1" x14ac:dyDescent="0.35">
      <c r="A6" s="34" t="s">
        <v>78</v>
      </c>
      <c r="B6" s="35">
        <v>50270</v>
      </c>
    </row>
    <row r="7" spans="1:2" ht="15" customHeight="1" x14ac:dyDescent="0.35">
      <c r="A7" s="34" t="s">
        <v>79</v>
      </c>
      <c r="B7" s="35">
        <v>125140</v>
      </c>
    </row>
    <row r="8" spans="1:2" ht="15" customHeight="1" x14ac:dyDescent="0.35">
      <c r="A8" s="34" t="s">
        <v>80</v>
      </c>
      <c r="B8" s="36">
        <v>0.2</v>
      </c>
    </row>
    <row r="9" spans="1:2" ht="15" customHeight="1" x14ac:dyDescent="0.35">
      <c r="A9" s="34" t="s">
        <v>81</v>
      </c>
      <c r="B9" s="36">
        <v>0.4</v>
      </c>
    </row>
    <row r="10" spans="1:2" ht="15" customHeight="1" x14ac:dyDescent="0.35">
      <c r="A10" s="34" t="s">
        <v>82</v>
      </c>
      <c r="B10" s="36">
        <v>0.45</v>
      </c>
    </row>
    <row r="11" spans="1:2" ht="15" customHeight="1" x14ac:dyDescent="0.35">
      <c r="A11" s="34" t="s">
        <v>83</v>
      </c>
      <c r="B11" s="36">
        <v>0.19</v>
      </c>
    </row>
    <row r="12" spans="1:2" ht="15" customHeight="1" x14ac:dyDescent="0.35">
      <c r="A12" s="34" t="s">
        <v>84</v>
      </c>
      <c r="B12" s="36">
        <v>0.25</v>
      </c>
    </row>
    <row r="13" spans="1:2" ht="15" customHeight="1" x14ac:dyDescent="0.35">
      <c r="A13" s="34" t="s">
        <v>85</v>
      </c>
      <c r="B13" s="35">
        <v>50000</v>
      </c>
    </row>
    <row r="14" spans="1:2" ht="15" customHeight="1" x14ac:dyDescent="0.35">
      <c r="A14" s="34" t="s">
        <v>86</v>
      </c>
      <c r="B14" s="35">
        <v>250000</v>
      </c>
    </row>
    <row r="15" spans="1:2" ht="15" customHeight="1" x14ac:dyDescent="0.35">
      <c r="A15" s="34" t="s">
        <v>87</v>
      </c>
      <c r="B15" s="36">
        <v>1.4999999999999999E-2</v>
      </c>
    </row>
    <row r="16" spans="1:2" ht="15" customHeight="1" x14ac:dyDescent="0.35">
      <c r="A16" s="34" t="s">
        <v>88</v>
      </c>
      <c r="B16" s="35">
        <v>500</v>
      </c>
    </row>
    <row r="17" spans="1:2" ht="15" customHeight="1" x14ac:dyDescent="0.35">
      <c r="A17" s="34" t="s">
        <v>89</v>
      </c>
      <c r="B17" s="36">
        <v>0.1075</v>
      </c>
    </row>
    <row r="18" spans="1:2" ht="15" customHeight="1" x14ac:dyDescent="0.35">
      <c r="A18" s="34" t="s">
        <v>90</v>
      </c>
      <c r="B18" s="36">
        <v>0.35749999999999998</v>
      </c>
    </row>
    <row r="19" spans="1:2" ht="15" customHeight="1" x14ac:dyDescent="0.35">
      <c r="A19" s="34" t="s">
        <v>91</v>
      </c>
      <c r="B19" s="36">
        <v>0.39350000000000002</v>
      </c>
    </row>
    <row r="20" spans="1:2" ht="15" customHeight="1" x14ac:dyDescent="0.35">
      <c r="A20" s="34" t="s">
        <v>92</v>
      </c>
      <c r="B20" s="35">
        <v>100000</v>
      </c>
    </row>
    <row r="21" spans="1:2" ht="15" customHeight="1" x14ac:dyDescent="0.35">
      <c r="A21" s="34" t="s">
        <v>93</v>
      </c>
      <c r="B21" s="36">
        <v>0.33750000000000002</v>
      </c>
    </row>
    <row r="23" spans="1:2" ht="15" customHeight="1" x14ac:dyDescent="0.35">
      <c r="A23" s="33" t="s">
        <v>94</v>
      </c>
      <c r="B23" s="37">
        <f>IF('Tax Estimator'!D19&lt;=B13,'Tax Estimator'!D19*B11,IF('Tax Estimator'!D19&gt;=B14,'Tax Estimator'!D19*B12,'Tax Estimator'!D19*B12-(B14-'Tax Estimator'!D19)*B15))</f>
        <v>10143.950000000001</v>
      </c>
    </row>
    <row r="48" spans="1:2" ht="15" customHeight="1" x14ac:dyDescent="0.35">
      <c r="A48" s="33" t="s">
        <v>95</v>
      </c>
      <c r="B48" s="33" t="str">
        <f>IF(NOT(ISNUMBER('Tax Estimator'!D11)),"Enter dividend date",IF(AND('Tax Estimator'!D11&gt;=DATE(2026,4,6),'Tax Estimator'!D11&lt;=DATE(2027,4,5)),"31 January 2028",IF(AND('Tax Estimator'!D11&gt;=DATE(2027,4,6),'Tax Estimator'!D11&lt;=DATE(2028,4,5)),"31 January 2029","Check tax year")))</f>
        <v>31 January 2028</v>
      </c>
    </row>
    <row r="58" spans="1:3" ht="15" customHeight="1" x14ac:dyDescent="0.35">
      <c r="A58" s="33" t="s">
        <v>96</v>
      </c>
    </row>
    <row r="59" spans="1:3" ht="15" customHeight="1" x14ac:dyDescent="0.35">
      <c r="A59" s="34" t="s">
        <v>97</v>
      </c>
      <c r="B59" s="38">
        <f>MAX(0,B4-MAX(0,('Tax Estimator'!D17+'Tax Estimator'!D30)-B20)*0.5)</f>
        <v>12570</v>
      </c>
    </row>
    <row r="60" spans="1:3" ht="15" customHeight="1" x14ac:dyDescent="0.35">
      <c r="A60" s="33" t="s">
        <v>29</v>
      </c>
      <c r="B60" s="37">
        <f>C61+C62+C63</f>
        <v>0</v>
      </c>
      <c r="C60" s="38">
        <f>MAX(0,'Tax Estimator'!D17-B59)</f>
        <v>0</v>
      </c>
    </row>
    <row r="61" spans="1:3" ht="15" customHeight="1" x14ac:dyDescent="0.35">
      <c r="C61" s="39">
        <f>MIN(C60,B5)*B8</f>
        <v>0</v>
      </c>
    </row>
    <row r="62" spans="1:3" ht="15" customHeight="1" x14ac:dyDescent="0.35">
      <c r="C62" s="39">
        <f>MAX(0,MIN(C60,B7-B59)-B5)*B9</f>
        <v>0</v>
      </c>
    </row>
    <row r="63" spans="1:3" ht="15" customHeight="1" x14ac:dyDescent="0.35">
      <c r="C63" s="39">
        <f>MAX(0,C60-(B7-B59))*B10</f>
        <v>0</v>
      </c>
    </row>
    <row r="65" spans="1:2" ht="15" customHeight="1" x14ac:dyDescent="0.35">
      <c r="A65" s="33" t="s">
        <v>98</v>
      </c>
    </row>
    <row r="66" spans="1:2" ht="15" customHeight="1" x14ac:dyDescent="0.35">
      <c r="A66" s="34" t="s">
        <v>99</v>
      </c>
      <c r="B66" s="38">
        <f>MAX(0,B59-'Tax Estimator'!D17)</f>
        <v>0</v>
      </c>
    </row>
    <row r="67" spans="1:2" ht="15" customHeight="1" x14ac:dyDescent="0.35">
      <c r="A67" s="34" t="s">
        <v>100</v>
      </c>
      <c r="B67" s="38">
        <f>MAX(0,'Tax Estimator'!D30-B66)</f>
        <v>40000</v>
      </c>
    </row>
    <row r="68" spans="1:2" ht="15" customHeight="1" x14ac:dyDescent="0.35">
      <c r="A68" s="34" t="s">
        <v>101</v>
      </c>
      <c r="B68" s="38">
        <f>MAX(0,B67-B16)</f>
        <v>39500</v>
      </c>
    </row>
    <row r="69" spans="1:2" ht="15" customHeight="1" x14ac:dyDescent="0.35">
      <c r="A69" s="34" t="s">
        <v>102</v>
      </c>
      <c r="B69" s="38">
        <f>MIN(MAX(0,'Tax Estimator'!D17-B59),B5)</f>
        <v>0</v>
      </c>
    </row>
    <row r="70" spans="1:2" ht="15" customHeight="1" x14ac:dyDescent="0.35">
      <c r="A70" s="34" t="s">
        <v>103</v>
      </c>
      <c r="B70" s="38">
        <f>MAX(0,B5-B69)</f>
        <v>37700</v>
      </c>
    </row>
    <row r="71" spans="1:2" ht="15" customHeight="1" x14ac:dyDescent="0.35">
      <c r="A71" s="34" t="s">
        <v>104</v>
      </c>
      <c r="B71" s="38">
        <f>MIN(B68,MAX(0,B70))</f>
        <v>37700</v>
      </c>
    </row>
    <row r="72" spans="1:2" ht="15" customHeight="1" x14ac:dyDescent="0.35">
      <c r="A72" s="34" t="s">
        <v>105</v>
      </c>
      <c r="B72" s="38">
        <f>MAX(0,(B7-B59)-B5)</f>
        <v>74870</v>
      </c>
    </row>
    <row r="73" spans="1:2" ht="15" customHeight="1" x14ac:dyDescent="0.35">
      <c r="A73" s="34" t="s">
        <v>106</v>
      </c>
      <c r="B73" s="38">
        <f>MIN(MAX(0,B68-B71),B72)</f>
        <v>1800</v>
      </c>
    </row>
    <row r="74" spans="1:2" ht="15" customHeight="1" x14ac:dyDescent="0.35">
      <c r="A74" s="34" t="s">
        <v>107</v>
      </c>
      <c r="B74" s="38">
        <f>MAX(0,B68-B71-B73)</f>
        <v>0</v>
      </c>
    </row>
    <row r="75" spans="1:2" ht="15" customHeight="1" x14ac:dyDescent="0.35">
      <c r="A75" s="40" t="s">
        <v>108</v>
      </c>
      <c r="B75" s="41">
        <f>B71*B17+B73*B18+B74*B19</f>
        <v>4696.25</v>
      </c>
    </row>
  </sheetData>
  <sheetProtection password="F04B" sheet="1" objects="1" scenarios="1"/>
  <pageMargins left="0.75" right="0.75" top="1" bottom="1" header="0.511811023622047" footer="0.511811023622047"/>
  <pageSetup paperSize="9" orientation="portrait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Tax Estimator</vt:lpstr>
      <vt:lpstr>Dividends Tracker</vt:lpstr>
      <vt:lpstr>Director's Loan</vt:lpstr>
      <vt:lpstr>Workings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Mellissa Dean</cp:lastModifiedBy>
  <cp:revision>0</cp:revision>
  <dcterms:created xsi:type="dcterms:W3CDTF">2026-07-06T11:32:09Z</dcterms:created>
  <dcterms:modified xsi:type="dcterms:W3CDTF">2026-07-06T12:22:48Z</dcterms:modified>
  <dc:language>en-US</dc:language>
</cp:coreProperties>
</file>